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ordination Déchets\marchés dechets\Marché DND( dechet non dangereux)\AO DND 2025-2031\"/>
    </mc:Choice>
  </mc:AlternateContent>
  <xr:revisionPtr revIDLastSave="0" documentId="8_{1EDF1112-5DBD-4055-BD58-4245279A5D03}" xr6:coauthVersionLast="36" xr6:coauthVersionMax="36" xr10:uidLastSave="{00000000-0000-0000-0000-000000000000}"/>
  <bookViews>
    <workbookView xWindow="0" yWindow="0" windowWidth="23040" windowHeight="8370" xr2:uid="{AF33D8DF-48EA-43AE-AE91-D1E76CA5322B}"/>
  </bookViews>
  <sheets>
    <sheet name="suivi TONNAGES  2024" sheetId="2" r:id="rId1"/>
    <sheet name="suivi TONNAGES  Veolia  2024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5" i="2"/>
  <c r="F20" i="2" l="1"/>
  <c r="F14" i="2" l="1"/>
  <c r="M13" i="2"/>
  <c r="J13" i="2"/>
  <c r="H13" i="2"/>
  <c r="F12" i="2"/>
  <c r="F11" i="2"/>
  <c r="G10" i="2"/>
  <c r="F10" i="2" s="1"/>
  <c r="V9" i="2"/>
  <c r="S9" i="2"/>
  <c r="L9" i="2"/>
  <c r="J9" i="2"/>
  <c r="F8" i="2"/>
  <c r="J7" i="2"/>
  <c r="F7" i="2" s="1"/>
  <c r="F6" i="2"/>
  <c r="F5" i="2"/>
  <c r="F4" i="2"/>
  <c r="W3" i="2"/>
  <c r="V3" i="2"/>
  <c r="U3" i="2"/>
  <c r="T3" i="2"/>
  <c r="S3" i="2"/>
  <c r="Q3" i="2"/>
  <c r="O3" i="2"/>
  <c r="N3" i="2"/>
  <c r="M3" i="2"/>
  <c r="L3" i="2"/>
  <c r="K3" i="2"/>
  <c r="J3" i="2"/>
  <c r="I3" i="2"/>
  <c r="H3" i="2"/>
  <c r="G3" i="2"/>
  <c r="F13" i="2" l="1"/>
  <c r="F3" i="2"/>
  <c r="F9" i="2"/>
  <c r="F13" i="1"/>
  <c r="AK13" i="1" s="1"/>
  <c r="M12" i="1"/>
  <c r="J12" i="1"/>
  <c r="H12" i="1"/>
  <c r="AL11" i="1"/>
  <c r="AH11" i="1"/>
  <c r="F11" i="1"/>
  <c r="F10" i="1"/>
  <c r="AH9" i="1"/>
  <c r="G9" i="1"/>
  <c r="F9" i="1" s="1"/>
  <c r="AD8" i="1"/>
  <c r="AA8" i="1"/>
  <c r="L8" i="1"/>
  <c r="J8" i="1"/>
  <c r="F8" i="1"/>
  <c r="AK8" i="1" s="1"/>
  <c r="F7" i="1"/>
  <c r="AK7" i="1" s="1"/>
  <c r="J6" i="1"/>
  <c r="AL5" i="1"/>
  <c r="AH5" i="1"/>
  <c r="AK5" i="1" s="1"/>
  <c r="F5" i="1"/>
  <c r="AI4" i="1"/>
  <c r="AL4" i="1" s="1"/>
  <c r="AH4" i="1"/>
  <c r="F4" i="1"/>
  <c r="F3" i="1"/>
  <c r="AK3" i="1" s="1"/>
  <c r="AL2" i="1"/>
  <c r="AH2" i="1"/>
  <c r="AE2" i="1"/>
  <c r="AD2" i="1"/>
  <c r="AC2" i="1"/>
  <c r="AB2" i="1"/>
  <c r="AA2" i="1"/>
  <c r="Y2" i="1"/>
  <c r="S2" i="1"/>
  <c r="P2" i="1"/>
  <c r="O2" i="1"/>
  <c r="M2" i="1"/>
  <c r="L2" i="1"/>
  <c r="K2" i="1"/>
  <c r="J2" i="1"/>
  <c r="I2" i="1"/>
  <c r="H2" i="1"/>
  <c r="G2" i="1"/>
  <c r="F2" i="1"/>
  <c r="AK11" i="1" l="1"/>
  <c r="AK4" i="1"/>
  <c r="AK9" i="1"/>
  <c r="AK2" i="1"/>
  <c r="F6" i="1"/>
  <c r="AK6" i="1" s="1"/>
  <c r="F12" i="1"/>
</calcChain>
</file>

<file path=xl/sharedStrings.xml><?xml version="1.0" encoding="utf-8"?>
<sst xmlns="http://schemas.openxmlformats.org/spreadsheetml/2006/main" count="185" uniqueCount="66">
  <si>
    <r>
      <rPr>
        <b/>
        <sz val="12"/>
        <color rgb="FF0070C0"/>
        <rFont val="Calibri"/>
        <family val="2"/>
        <scheme val="minor"/>
      </rPr>
      <t xml:space="preserve">SUIVI TONNAGE  DECHETS HCL
</t>
    </r>
    <r>
      <rPr>
        <sz val="12"/>
        <color theme="9" tint="-0.249977111117893"/>
        <rFont val="Calibri"/>
        <family val="2"/>
        <scheme val="minor"/>
      </rPr>
      <t>chiffres en orange = calculé et non pesé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</si>
  <si>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Classification
</t>
    </r>
    <r>
      <rPr>
        <sz val="7"/>
        <color theme="1"/>
        <rFont val="Calibri"/>
        <family val="2"/>
        <scheme val="minor"/>
      </rPr>
      <t xml:space="preserve">ND Non Dangereux 
DD Déchets Dangereux </t>
    </r>
  </si>
  <si>
    <r>
      <rPr>
        <b/>
        <sz val="7"/>
        <color theme="1"/>
        <rFont val="Calibri"/>
        <family val="2"/>
        <scheme val="minor"/>
      </rPr>
      <t>R</t>
    </r>
    <r>
      <rPr>
        <sz val="7"/>
        <color theme="1"/>
        <rFont val="Calibri"/>
        <family val="2"/>
        <scheme val="minor"/>
      </rPr>
      <t xml:space="preserve">esponsabilité </t>
    </r>
    <r>
      <rPr>
        <b/>
        <sz val="7"/>
        <color theme="1"/>
        <rFont val="Calibri"/>
        <family val="2"/>
        <scheme val="minor"/>
      </rPr>
      <t>E</t>
    </r>
    <r>
      <rPr>
        <sz val="7"/>
        <color theme="1"/>
        <rFont val="Calibri"/>
        <family val="2"/>
        <scheme val="minor"/>
      </rPr>
      <t xml:space="preserve">largie du </t>
    </r>
    <r>
      <rPr>
        <b/>
        <sz val="7"/>
        <color theme="1"/>
        <rFont val="Calibri"/>
        <family val="2"/>
        <scheme val="minor"/>
      </rPr>
      <t>P</t>
    </r>
    <r>
      <rPr>
        <sz val="7"/>
        <color theme="1"/>
        <rFont val="Calibri"/>
        <family val="2"/>
        <scheme val="minor"/>
      </rPr>
      <t>roducteur/Eco organisme</t>
    </r>
  </si>
  <si>
    <t>Type de traitement</t>
  </si>
  <si>
    <t>TONNAGES 2024</t>
  </si>
  <si>
    <t>PHARMACIE CENTRALE</t>
  </si>
  <si>
    <t>H. EDOUARD HERRIOT</t>
  </si>
  <si>
    <t>H. CHARPENNES</t>
  </si>
  <si>
    <t>H. CROIX ROUSSE</t>
  </si>
  <si>
    <t>H. DUGOUJON</t>
  </si>
  <si>
    <t>H. P.GARRAUD</t>
  </si>
  <si>
    <t>GROUP.H. EST</t>
  </si>
  <si>
    <t>H. A.CHARIAL</t>
  </si>
  <si>
    <t>H. HENRY GABRIELLE</t>
  </si>
  <si>
    <t>LYON SUD</t>
  </si>
  <si>
    <t>STERILISATION CENTRALE</t>
  </si>
  <si>
    <t>HELISTATION</t>
  </si>
  <si>
    <t>BLANCHISSERIE INTER HOSPITALIERE</t>
  </si>
  <si>
    <t>CENTRE MEDICINA DIAB-E-CARE</t>
  </si>
  <si>
    <t>C.R.ST EXUPERY</t>
  </si>
  <si>
    <t>E.M.MEYZIEU</t>
  </si>
  <si>
    <t>C.P. ST QUENTIN FALLAVIER</t>
  </si>
  <si>
    <t>M.A CORBAS</t>
  </si>
  <si>
    <t>S.C.T.DENTAIRE</t>
  </si>
  <si>
    <t>Hospimag</t>
  </si>
  <si>
    <t xml:space="preserve">Archives centrales </t>
  </si>
  <si>
    <t>VILLON</t>
  </si>
  <si>
    <t>LACASSAGNE</t>
  </si>
  <si>
    <t>CELESTINS</t>
  </si>
  <si>
    <t>UCPA GE</t>
  </si>
  <si>
    <t>RS</t>
  </si>
  <si>
    <t>cout HT LYON</t>
  </si>
  <si>
    <t>COUT HT RS</t>
  </si>
  <si>
    <t>cout  Tonne  HT LYON</t>
  </si>
  <si>
    <t>cout Tonne  HT RS</t>
  </si>
  <si>
    <t>DMA: Déchets Menager et Assimilés</t>
  </si>
  <si>
    <t>ND</t>
  </si>
  <si>
    <t>Incinération</t>
  </si>
  <si>
    <t>Déchets Verts</t>
  </si>
  <si>
    <t>valorisation
Matière</t>
  </si>
  <si>
    <t>Déchet de Cuisine et de Table (DCT)</t>
  </si>
  <si>
    <t>BOIS +palettes</t>
  </si>
  <si>
    <t>METAUX</t>
  </si>
  <si>
    <t xml:space="preserve"> Plastique film, sac analyse ( bouteille RS)</t>
  </si>
  <si>
    <t>Papier</t>
  </si>
  <si>
    <t>Carton/Papier</t>
  </si>
  <si>
    <t>Gravats</t>
  </si>
  <si>
    <t>Enfouissement</t>
  </si>
  <si>
    <t>DIB: dechets industriels banals (non valorisables)</t>
  </si>
  <si>
    <t>Refus de tri</t>
  </si>
  <si>
    <t xml:space="preserve">Platre </t>
  </si>
  <si>
    <r>
      <rPr>
        <b/>
        <sz val="12"/>
        <color rgb="FF0070C0"/>
        <rFont val="Calibri"/>
        <family val="2"/>
        <scheme val="minor"/>
      </rPr>
      <t xml:space="preserve">SUIVI TONNAGE  DECHETS HCL
</t>
    </r>
    <r>
      <rPr>
        <sz val="11"/>
        <color theme="1"/>
        <rFont val="Calibri"/>
        <family val="2"/>
        <scheme val="minor"/>
      </rPr>
      <t xml:space="preserve">
</t>
    </r>
  </si>
  <si>
    <t>Eco organisme  Valdélia</t>
  </si>
  <si>
    <t xml:space="preserve">benne fermée </t>
  </si>
  <si>
    <t xml:space="preserve">sur demande </t>
  </si>
  <si>
    <t>benne 
30 m3</t>
  </si>
  <si>
    <t xml:space="preserve">Indication </t>
  </si>
  <si>
    <t>REP</t>
  </si>
  <si>
    <t>PROJET DE NOUVELLE FILIERE</t>
  </si>
  <si>
    <t xml:space="preserve">evaluaton des tonnages de cette nouvelle collecte </t>
  </si>
  <si>
    <t>Tri de tous les plastiques sur les 4 sites hospitaliers</t>
  </si>
  <si>
    <t>MODIFICATION FILIERE ECO ORGANISME</t>
  </si>
  <si>
    <t xml:space="preserve">Tri des DCT dans les tous les unites de soins </t>
  </si>
  <si>
    <t>Suite à la modification de process   de L'eco-organismes et dans l'attente de leur décision , prise en charge  par le prestataire 
 de l'apport sur le site de valorisation 
de la  location de la  benne pour ce flux</t>
  </si>
  <si>
    <t xml:space="preserve">SITUATION 2024
</t>
  </si>
  <si>
    <t xml:space="preserve">Les tonnages cocnerné par ces nouvelles filière viendront en déduction des tonnages de DMA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</si>
</sst>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"/>
    <numFmt numFmtId="165" formatCode="_-* #,##0.0\ _€_-;\-* #,##0.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8" fillId="2" borderId="8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164" fontId="0" fillId="5" borderId="11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43" fontId="0" fillId="3" borderId="0" xfId="1" applyFont="1" applyFill="1"/>
    <xf numFmtId="165" fontId="0" fillId="0" borderId="10" xfId="1" applyNumberFormat="1" applyFont="1" applyBorder="1" applyAlignment="1">
      <alignment vertical="center"/>
    </xf>
    <xf numFmtId="165" fontId="0" fillId="0" borderId="10" xfId="0" applyNumberFormat="1" applyFill="1" applyBorder="1" applyAlignment="1">
      <alignment horizontal="center" vertical="center"/>
    </xf>
    <xf numFmtId="43" fontId="0" fillId="3" borderId="10" xfId="1" applyFont="1" applyFill="1" applyBorder="1"/>
    <xf numFmtId="164" fontId="0" fillId="0" borderId="10" xfId="0" applyNumberFormat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9" fillId="7" borderId="10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0" xfId="0" applyFill="1" applyBorder="1"/>
    <xf numFmtId="0" fontId="8" fillId="2" borderId="7" xfId="0" applyFont="1" applyFill="1" applyBorder="1" applyAlignment="1">
      <alignment horizontal="left" vertical="center" wrapText="1"/>
    </xf>
    <xf numFmtId="43" fontId="0" fillId="0" borderId="10" xfId="1" applyFont="1" applyBorder="1"/>
    <xf numFmtId="164" fontId="10" fillId="0" borderId="10" xfId="0" applyNumberFormat="1" applyFont="1" applyBorder="1" applyAlignment="1">
      <alignment horizontal="center" vertical="center"/>
    </xf>
    <xf numFmtId="165" fontId="0" fillId="6" borderId="10" xfId="1" applyNumberFormat="1" applyFont="1" applyFill="1" applyBorder="1" applyAlignment="1">
      <alignment vertical="center"/>
    </xf>
    <xf numFmtId="0" fontId="0" fillId="8" borderId="10" xfId="0" applyFill="1" applyBorder="1" applyAlignment="1">
      <alignment horizontal="center" vertical="center"/>
    </xf>
    <xf numFmtId="2" fontId="0" fillId="8" borderId="10" xfId="0" applyNumberForma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6" borderId="0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11" borderId="6" xfId="0" applyFill="1" applyBorder="1"/>
    <xf numFmtId="0" fontId="0" fillId="11" borderId="0" xfId="0" applyFill="1" applyBorder="1"/>
    <xf numFmtId="0" fontId="0" fillId="11" borderId="0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164" fontId="0" fillId="5" borderId="20" xfId="0" applyNumberForma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/>
    </xf>
    <xf numFmtId="0" fontId="12" fillId="8" borderId="15" xfId="0" applyFont="1" applyFill="1" applyBorder="1" applyAlignment="1">
      <alignment horizontal="center"/>
    </xf>
    <xf numFmtId="0" fontId="12" fillId="8" borderId="1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13" fillId="8" borderId="0" xfId="0" applyFont="1" applyFill="1" applyAlignment="1">
      <alignment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164" fontId="0" fillId="5" borderId="25" xfId="0" applyNumberFormat="1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8785C980-0BBE-4CB4-B964-E38D66B0A6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5E51C-C19A-4244-A303-C6E6FF017B8F}">
  <dimension ref="A1:Y27"/>
  <sheetViews>
    <sheetView tabSelected="1" topLeftCell="A26" zoomScale="90" zoomScaleNormal="90" workbookViewId="0">
      <selection activeCell="D37" sqref="D37"/>
    </sheetView>
  </sheetViews>
  <sheetFormatPr baseColWidth="10" defaultRowHeight="15" x14ac:dyDescent="0.25"/>
  <cols>
    <col min="1" max="1" width="8.85546875" style="45" customWidth="1"/>
    <col min="2" max="2" width="24.7109375" customWidth="1"/>
    <col min="3" max="5" width="11.42578125" customWidth="1"/>
    <col min="6" max="6" width="12.7109375" customWidth="1"/>
    <col min="7" max="23" width="11.42578125" style="46" customWidth="1"/>
    <col min="24" max="24" width="11.5703125" style="46" customWidth="1"/>
    <col min="25" max="25" width="2.7109375" customWidth="1"/>
  </cols>
  <sheetData>
    <row r="1" spans="1:25" ht="30.75" thickBot="1" x14ac:dyDescent="0.3">
      <c r="B1" s="73" t="s">
        <v>64</v>
      </c>
      <c r="C1" s="71"/>
      <c r="D1" s="71"/>
      <c r="E1" s="71"/>
      <c r="F1" s="71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</row>
    <row r="2" spans="1:25" ht="97.9" customHeight="1" x14ac:dyDescent="0.25">
      <c r="A2" s="1"/>
      <c r="B2" s="2" t="s">
        <v>51</v>
      </c>
      <c r="C2" s="3" t="s">
        <v>1</v>
      </c>
      <c r="D2" s="4" t="s">
        <v>2</v>
      </c>
      <c r="E2" s="5" t="s">
        <v>3</v>
      </c>
      <c r="F2" s="6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13</v>
      </c>
      <c r="O2" s="7" t="s">
        <v>14</v>
      </c>
      <c r="P2" s="7" t="s">
        <v>15</v>
      </c>
      <c r="Q2" s="7" t="s">
        <v>23</v>
      </c>
      <c r="R2" s="8" t="s">
        <v>24</v>
      </c>
      <c r="S2" s="8" t="s">
        <v>25</v>
      </c>
      <c r="T2" s="8" t="s">
        <v>26</v>
      </c>
      <c r="U2" s="8" t="s">
        <v>27</v>
      </c>
      <c r="V2" s="8" t="s">
        <v>28</v>
      </c>
      <c r="W2" s="8" t="s">
        <v>29</v>
      </c>
      <c r="X2" s="8" t="s">
        <v>30</v>
      </c>
      <c r="Y2" s="9"/>
    </row>
    <row r="3" spans="1:25" ht="23.25" customHeight="1" x14ac:dyDescent="0.25">
      <c r="A3" s="10"/>
      <c r="B3" s="11" t="s">
        <v>35</v>
      </c>
      <c r="C3" s="12" t="s">
        <v>36</v>
      </c>
      <c r="D3" s="13"/>
      <c r="E3" s="14" t="s">
        <v>37</v>
      </c>
      <c r="F3" s="15">
        <f t="shared" ref="F3:F8" si="0">SUM(G3:X3)</f>
        <v>6633.8400000000011</v>
      </c>
      <c r="G3" s="16">
        <f>17.51+33.16</f>
        <v>50.67</v>
      </c>
      <c r="H3" s="16">
        <f>660.4+653.9</f>
        <v>1314.3</v>
      </c>
      <c r="I3" s="16">
        <f>83.24+87</f>
        <v>170.24</v>
      </c>
      <c r="J3" s="16">
        <f>515.84+511.56</f>
        <v>1027.4000000000001</v>
      </c>
      <c r="K3" s="16">
        <f>30.94+39.73</f>
        <v>70.67</v>
      </c>
      <c r="L3" s="16">
        <f>123.92+243.44</f>
        <v>367.36</v>
      </c>
      <c r="M3" s="16">
        <f>856.92+853.48</f>
        <v>1710.4</v>
      </c>
      <c r="N3" s="16">
        <f>43.73+41.37</f>
        <v>85.1</v>
      </c>
      <c r="O3" s="16">
        <f>449.54+909.04</f>
        <v>1358.58</v>
      </c>
      <c r="P3" s="17"/>
      <c r="Q3" s="16">
        <f>19.41+23.35</f>
        <v>42.760000000000005</v>
      </c>
      <c r="R3" s="17"/>
      <c r="S3" s="16">
        <f>3.1+1.6</f>
        <v>4.7</v>
      </c>
      <c r="T3" s="16">
        <f>6.57+6.43</f>
        <v>13</v>
      </c>
      <c r="U3" s="16">
        <f>8.15+8.73</f>
        <v>16.880000000000003</v>
      </c>
      <c r="V3" s="16">
        <f>6.13+5.9</f>
        <v>12.030000000000001</v>
      </c>
      <c r="W3" s="16">
        <f>103.64+56.8</f>
        <v>160.44</v>
      </c>
      <c r="X3" s="16">
        <v>229.31</v>
      </c>
      <c r="Y3" s="18"/>
    </row>
    <row r="4" spans="1:25" ht="24" x14ac:dyDescent="0.25">
      <c r="A4" s="10"/>
      <c r="B4" s="23" t="s">
        <v>38</v>
      </c>
      <c r="C4" s="12" t="s">
        <v>36</v>
      </c>
      <c r="D4" s="13"/>
      <c r="E4" s="24" t="s">
        <v>39</v>
      </c>
      <c r="F4" s="15">
        <f t="shared" si="0"/>
        <v>16.759999999999998</v>
      </c>
      <c r="G4" s="17"/>
      <c r="H4" s="17"/>
      <c r="I4" s="17"/>
      <c r="J4" s="17"/>
      <c r="K4" s="13">
        <v>1.48</v>
      </c>
      <c r="L4" s="13">
        <v>15.28</v>
      </c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25"/>
    </row>
    <row r="5" spans="1:25" ht="24" x14ac:dyDescent="0.25">
      <c r="A5" s="10"/>
      <c r="B5" s="27" t="s">
        <v>40</v>
      </c>
      <c r="C5" s="12" t="s">
        <v>36</v>
      </c>
      <c r="D5" s="13"/>
      <c r="E5" s="24" t="s">
        <v>39</v>
      </c>
      <c r="F5" s="15">
        <f t="shared" si="0"/>
        <v>270.28999999999996</v>
      </c>
      <c r="G5" s="17"/>
      <c r="H5" s="16">
        <v>23.81</v>
      </c>
      <c r="I5" s="17"/>
      <c r="J5" s="16">
        <v>24.11</v>
      </c>
      <c r="K5" s="17"/>
      <c r="L5" s="17"/>
      <c r="M5" s="16">
        <v>53.01</v>
      </c>
      <c r="N5" s="17"/>
      <c r="O5" s="16">
        <v>54.83</v>
      </c>
      <c r="P5" s="17"/>
      <c r="Q5" s="17"/>
      <c r="R5" s="17"/>
      <c r="S5" s="17"/>
      <c r="T5" s="17"/>
      <c r="U5" s="17"/>
      <c r="V5" s="17"/>
      <c r="W5" s="16">
        <v>97.76</v>
      </c>
      <c r="X5" s="13">
        <v>16.77</v>
      </c>
      <c r="Y5" s="18"/>
    </row>
    <row r="6" spans="1:25" ht="24" x14ac:dyDescent="0.25">
      <c r="A6" s="10"/>
      <c r="B6" s="23" t="s">
        <v>41</v>
      </c>
      <c r="C6" s="12" t="s">
        <v>36</v>
      </c>
      <c r="D6" s="13"/>
      <c r="E6" s="24" t="s">
        <v>39</v>
      </c>
      <c r="F6" s="15">
        <f t="shared" si="0"/>
        <v>18.900000000000002</v>
      </c>
      <c r="G6" s="29"/>
      <c r="H6" s="17"/>
      <c r="I6" s="17"/>
      <c r="J6" s="13">
        <v>7.14</v>
      </c>
      <c r="K6" s="17"/>
      <c r="L6" s="13">
        <v>0.64</v>
      </c>
      <c r="M6" s="13">
        <v>2.54</v>
      </c>
      <c r="N6" s="17"/>
      <c r="O6" s="13">
        <v>3.82</v>
      </c>
      <c r="P6" s="17"/>
      <c r="Q6" s="17"/>
      <c r="R6" s="17"/>
      <c r="S6" s="17"/>
      <c r="T6" s="16">
        <v>2.16</v>
      </c>
      <c r="U6" s="17"/>
      <c r="V6" s="16">
        <v>0.1</v>
      </c>
      <c r="W6" s="16">
        <v>1.1599999999999999</v>
      </c>
      <c r="X6" s="13">
        <v>1.34</v>
      </c>
      <c r="Y6" s="25"/>
    </row>
    <row r="7" spans="1:25" ht="24" x14ac:dyDescent="0.25">
      <c r="A7" s="10"/>
      <c r="B7" s="23" t="s">
        <v>42</v>
      </c>
      <c r="C7" s="12" t="s">
        <v>36</v>
      </c>
      <c r="D7" s="13"/>
      <c r="E7" s="24" t="s">
        <v>39</v>
      </c>
      <c r="F7" s="15">
        <f t="shared" si="0"/>
        <v>20.72</v>
      </c>
      <c r="G7" s="17"/>
      <c r="H7" s="13">
        <v>5.7</v>
      </c>
      <c r="I7" s="17"/>
      <c r="J7" s="13">
        <f>2.16+1.09</f>
        <v>3.25</v>
      </c>
      <c r="K7" s="13">
        <v>0.56000000000000005</v>
      </c>
      <c r="L7" s="13">
        <v>2.41</v>
      </c>
      <c r="M7" s="13">
        <v>6.6</v>
      </c>
      <c r="N7" s="17"/>
      <c r="O7" s="17"/>
      <c r="P7" s="17"/>
      <c r="Q7" s="17"/>
      <c r="R7" s="17"/>
      <c r="S7" s="17"/>
      <c r="T7" s="17"/>
      <c r="U7" s="17"/>
      <c r="V7" s="16">
        <v>2.2000000000000002</v>
      </c>
      <c r="W7" s="17"/>
      <c r="X7" s="17"/>
      <c r="Y7" s="25"/>
    </row>
    <row r="8" spans="1:25" ht="24" x14ac:dyDescent="0.25">
      <c r="A8" s="10"/>
      <c r="B8" s="27" t="s">
        <v>43</v>
      </c>
      <c r="C8" s="12" t="s">
        <v>36</v>
      </c>
      <c r="D8" s="13"/>
      <c r="E8" s="24" t="s">
        <v>39</v>
      </c>
      <c r="F8" s="15">
        <f t="shared" si="0"/>
        <v>17.02</v>
      </c>
      <c r="G8" s="17"/>
      <c r="H8" s="17"/>
      <c r="I8" s="17"/>
      <c r="J8" s="13">
        <v>11.9</v>
      </c>
      <c r="K8" s="17"/>
      <c r="L8" s="17"/>
      <c r="M8" s="13">
        <v>3.64</v>
      </c>
      <c r="N8" s="17"/>
      <c r="O8" s="13">
        <v>1.48</v>
      </c>
      <c r="P8" s="17"/>
      <c r="Q8" s="17"/>
      <c r="R8" s="17"/>
      <c r="S8" s="17"/>
      <c r="T8" s="17"/>
      <c r="U8" s="17"/>
      <c r="V8" s="17"/>
      <c r="W8" s="17"/>
      <c r="X8" s="17"/>
      <c r="Y8" s="25"/>
    </row>
    <row r="9" spans="1:25" ht="24" x14ac:dyDescent="0.25">
      <c r="A9" s="10"/>
      <c r="B9" s="23" t="s">
        <v>44</v>
      </c>
      <c r="C9" s="12" t="s">
        <v>36</v>
      </c>
      <c r="D9" s="13"/>
      <c r="E9" s="24" t="s">
        <v>39</v>
      </c>
      <c r="F9" s="15">
        <f t="shared" ref="F9:F14" si="1">SUM(G9:X9)</f>
        <v>103.97</v>
      </c>
      <c r="G9" s="13">
        <v>0.37</v>
      </c>
      <c r="H9" s="17"/>
      <c r="I9" s="17"/>
      <c r="J9" s="13">
        <f>6.96+15.07</f>
        <v>22.03</v>
      </c>
      <c r="K9" s="13">
        <v>0.23</v>
      </c>
      <c r="L9" s="13">
        <f>0.31+1.16</f>
        <v>1.47</v>
      </c>
      <c r="M9" s="17"/>
      <c r="N9" s="16">
        <v>0.16</v>
      </c>
      <c r="O9" s="17"/>
      <c r="P9" s="17"/>
      <c r="Q9" s="16">
        <v>0.59</v>
      </c>
      <c r="R9" s="17"/>
      <c r="S9" s="13">
        <f>32.26+29.2</f>
        <v>61.459999999999994</v>
      </c>
      <c r="T9" s="13">
        <v>4.16</v>
      </c>
      <c r="U9" s="16">
        <v>5.72</v>
      </c>
      <c r="V9" s="16">
        <f>4.72+1.36</f>
        <v>6.08</v>
      </c>
      <c r="W9" s="16">
        <v>1.7</v>
      </c>
      <c r="X9" s="17"/>
      <c r="Y9" s="25"/>
    </row>
    <row r="10" spans="1:25" ht="24" x14ac:dyDescent="0.25">
      <c r="A10" s="10"/>
      <c r="B10" s="23" t="s">
        <v>45</v>
      </c>
      <c r="C10" s="12" t="s">
        <v>36</v>
      </c>
      <c r="D10" s="13"/>
      <c r="E10" s="24" t="s">
        <v>39</v>
      </c>
      <c r="F10" s="15">
        <f t="shared" si="1"/>
        <v>491.12000000000006</v>
      </c>
      <c r="G10" s="13">
        <f>13.9</f>
        <v>13.9</v>
      </c>
      <c r="H10" s="16">
        <v>64.39</v>
      </c>
      <c r="I10" s="16">
        <v>1.79</v>
      </c>
      <c r="J10" s="47">
        <v>112</v>
      </c>
      <c r="K10" s="16"/>
      <c r="L10" s="16">
        <v>11.76</v>
      </c>
      <c r="M10" s="16">
        <v>124.51</v>
      </c>
      <c r="N10" s="16">
        <v>6.97</v>
      </c>
      <c r="O10" s="16">
        <v>112.38</v>
      </c>
      <c r="P10" s="17"/>
      <c r="Q10" s="17"/>
      <c r="R10" s="16">
        <v>43.42</v>
      </c>
      <c r="S10" s="17"/>
      <c r="T10" s="17"/>
      <c r="U10" s="17"/>
      <c r="V10" s="17"/>
      <c r="W10" s="17"/>
      <c r="X10" s="17"/>
      <c r="Y10" s="25"/>
    </row>
    <row r="11" spans="1:25" x14ac:dyDescent="0.25">
      <c r="A11" s="10"/>
      <c r="B11" s="23" t="s">
        <v>46</v>
      </c>
      <c r="C11" s="12" t="s">
        <v>36</v>
      </c>
      <c r="D11" s="13"/>
      <c r="E11" s="33" t="s">
        <v>47</v>
      </c>
      <c r="F11" s="15">
        <f t="shared" si="1"/>
        <v>0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25"/>
    </row>
    <row r="12" spans="1:25" ht="22.5" x14ac:dyDescent="0.25">
      <c r="A12" s="10"/>
      <c r="B12" s="27" t="s">
        <v>48</v>
      </c>
      <c r="C12" s="12" t="s">
        <v>36</v>
      </c>
      <c r="D12" s="13"/>
      <c r="E12" s="33" t="s">
        <v>47</v>
      </c>
      <c r="F12" s="15">
        <f t="shared" si="1"/>
        <v>203.77</v>
      </c>
      <c r="G12" s="16">
        <v>1.94</v>
      </c>
      <c r="H12" s="16">
        <v>21.68</v>
      </c>
      <c r="I12" s="16">
        <v>1.86</v>
      </c>
      <c r="J12" s="16">
        <v>2.3199999999999998</v>
      </c>
      <c r="K12" s="17"/>
      <c r="L12" s="17"/>
      <c r="M12" s="16">
        <v>3.22</v>
      </c>
      <c r="N12" s="16">
        <v>11.54</v>
      </c>
      <c r="O12" s="16">
        <v>16.100000000000001</v>
      </c>
      <c r="P12" s="16">
        <v>1.1599999999999999</v>
      </c>
      <c r="Q12" s="13"/>
      <c r="R12" s="16">
        <v>8.3800000000000008</v>
      </c>
      <c r="S12" s="17"/>
      <c r="T12" s="13">
        <v>14.38</v>
      </c>
      <c r="U12" s="17"/>
      <c r="V12" s="16">
        <v>113.33</v>
      </c>
      <c r="W12" s="17"/>
      <c r="X12" s="16">
        <v>7.86</v>
      </c>
      <c r="Y12" s="25"/>
    </row>
    <row r="13" spans="1:25" x14ac:dyDescent="0.25">
      <c r="A13" s="10"/>
      <c r="B13" s="23" t="s">
        <v>49</v>
      </c>
      <c r="C13" s="12"/>
      <c r="D13" s="13"/>
      <c r="E13" s="33"/>
      <c r="F13" s="15">
        <f t="shared" si="1"/>
        <v>34.36</v>
      </c>
      <c r="G13" s="16">
        <v>2.9</v>
      </c>
      <c r="H13" s="16">
        <f>3.8+2.44+8.06</f>
        <v>14.3</v>
      </c>
      <c r="I13" s="17"/>
      <c r="J13" s="13">
        <f>1.01+2.94</f>
        <v>3.95</v>
      </c>
      <c r="K13" s="17"/>
      <c r="L13" s="16">
        <v>7.0000000000000007E-2</v>
      </c>
      <c r="M13" s="13">
        <f>1.36+1.69</f>
        <v>3.05</v>
      </c>
      <c r="N13" s="17"/>
      <c r="O13" s="17">
        <v>7.49</v>
      </c>
      <c r="P13" s="17"/>
      <c r="Q13" s="17"/>
      <c r="R13" s="16">
        <v>2.54</v>
      </c>
      <c r="S13" s="17"/>
      <c r="T13" s="17"/>
      <c r="U13" s="17"/>
      <c r="V13" s="17"/>
      <c r="W13" s="16">
        <v>0.06</v>
      </c>
      <c r="X13" s="17"/>
      <c r="Y13" s="25"/>
    </row>
    <row r="14" spans="1:25" ht="24" x14ac:dyDescent="0.25">
      <c r="A14" s="10"/>
      <c r="B14" s="35" t="s">
        <v>50</v>
      </c>
      <c r="C14" s="36" t="s">
        <v>36</v>
      </c>
      <c r="D14" s="37"/>
      <c r="E14" s="24" t="s">
        <v>39</v>
      </c>
      <c r="F14" s="15">
        <f t="shared" si="1"/>
        <v>0.8</v>
      </c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6">
        <v>0.8</v>
      </c>
      <c r="R14" s="38"/>
      <c r="S14" s="38"/>
      <c r="T14" s="38"/>
      <c r="U14" s="38"/>
      <c r="V14" s="38"/>
      <c r="W14" s="38"/>
      <c r="X14" s="38"/>
      <c r="Y14" s="25"/>
    </row>
    <row r="15" spans="1:25" ht="6" customHeight="1" x14ac:dyDescent="0.25">
      <c r="A15" s="40"/>
      <c r="B15" s="41"/>
      <c r="C15" s="41"/>
      <c r="D15" s="41"/>
      <c r="E15" s="41"/>
      <c r="F15" s="4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8" spans="1:24" ht="31.15" customHeight="1" x14ac:dyDescent="0.45">
      <c r="B18" s="70" t="s">
        <v>61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</row>
    <row r="19" spans="1:24" ht="87" customHeight="1" x14ac:dyDescent="0.25">
      <c r="B19" s="63" t="s">
        <v>63</v>
      </c>
      <c r="C19" s="63"/>
      <c r="D19" s="63"/>
      <c r="E19" s="63"/>
      <c r="F19" s="64"/>
      <c r="G19" s="8" t="s">
        <v>5</v>
      </c>
      <c r="H19" s="8" t="s">
        <v>6</v>
      </c>
      <c r="I19" s="8" t="s">
        <v>7</v>
      </c>
      <c r="J19" s="8" t="s">
        <v>8</v>
      </c>
      <c r="K19" s="8" t="s">
        <v>9</v>
      </c>
      <c r="L19" s="8" t="s">
        <v>10</v>
      </c>
      <c r="M19" s="8" t="s">
        <v>11</v>
      </c>
      <c r="N19" s="8" t="s">
        <v>13</v>
      </c>
      <c r="O19" s="8" t="s">
        <v>14</v>
      </c>
      <c r="P19" s="8" t="s">
        <v>15</v>
      </c>
      <c r="Q19" s="8" t="s">
        <v>23</v>
      </c>
      <c r="R19" s="8" t="s">
        <v>24</v>
      </c>
      <c r="S19" s="8" t="s">
        <v>25</v>
      </c>
      <c r="T19" s="8" t="s">
        <v>26</v>
      </c>
      <c r="U19" s="8" t="s">
        <v>27</v>
      </c>
      <c r="V19" s="8" t="s">
        <v>28</v>
      </c>
      <c r="W19" s="8" t="s">
        <v>29</v>
      </c>
      <c r="X19" s="8" t="s">
        <v>30</v>
      </c>
    </row>
    <row r="20" spans="1:24" ht="24" x14ac:dyDescent="0.25">
      <c r="B20" s="48" t="s">
        <v>52</v>
      </c>
      <c r="C20" s="36" t="s">
        <v>36</v>
      </c>
      <c r="D20" s="13" t="s">
        <v>57</v>
      </c>
      <c r="E20" s="24" t="s">
        <v>39</v>
      </c>
      <c r="F20" s="15">
        <f t="shared" ref="F20" si="2">SUM(G20:X20)</f>
        <v>116.16000000000001</v>
      </c>
      <c r="G20" s="34"/>
      <c r="H20" s="49">
        <v>25.04</v>
      </c>
      <c r="I20" s="34"/>
      <c r="J20" s="49">
        <v>15.26</v>
      </c>
      <c r="K20" s="34"/>
      <c r="L20" s="49">
        <v>10.06</v>
      </c>
      <c r="M20" s="49">
        <v>44.54</v>
      </c>
      <c r="N20" s="34"/>
      <c r="O20" s="49">
        <v>5.42</v>
      </c>
      <c r="P20" s="34"/>
      <c r="Q20" s="34"/>
      <c r="R20" s="34"/>
      <c r="S20" s="34"/>
      <c r="T20" s="34"/>
      <c r="U20" s="49">
        <v>4.04</v>
      </c>
      <c r="V20" s="34"/>
      <c r="W20" s="34"/>
      <c r="X20" s="49">
        <v>11.8</v>
      </c>
    </row>
    <row r="21" spans="1:24" ht="36" customHeight="1" x14ac:dyDescent="0.25">
      <c r="B21" s="17"/>
      <c r="C21" s="17"/>
      <c r="D21" s="17"/>
      <c r="E21" s="65" t="s">
        <v>56</v>
      </c>
      <c r="F21" s="65"/>
      <c r="G21" s="17"/>
      <c r="H21" s="50" t="s">
        <v>53</v>
      </c>
      <c r="I21" s="17"/>
      <c r="J21" s="50" t="s">
        <v>55</v>
      </c>
      <c r="K21" s="17"/>
      <c r="L21" s="50" t="s">
        <v>54</v>
      </c>
      <c r="M21" s="50" t="s">
        <v>55</v>
      </c>
      <c r="N21" s="17"/>
      <c r="O21" s="50" t="s">
        <v>55</v>
      </c>
      <c r="P21" s="17"/>
      <c r="Q21" s="17"/>
      <c r="R21" s="17"/>
      <c r="S21" s="17"/>
      <c r="T21" s="34"/>
      <c r="U21" s="50" t="s">
        <v>54</v>
      </c>
      <c r="V21" s="17"/>
      <c r="W21" s="17"/>
      <c r="X21" s="50" t="s">
        <v>54</v>
      </c>
    </row>
    <row r="22" spans="1:24" ht="15.75" thickBot="1" x14ac:dyDescent="0.3"/>
    <row r="23" spans="1:24" ht="31.15" customHeight="1" x14ac:dyDescent="0.45">
      <c r="B23" s="66" t="s">
        <v>58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8"/>
    </row>
    <row r="24" spans="1:24" ht="87" customHeight="1" x14ac:dyDescent="0.25">
      <c r="B24" s="81" t="s">
        <v>65</v>
      </c>
      <c r="C24" s="81"/>
      <c r="D24" s="81"/>
      <c r="E24" s="81"/>
      <c r="F24" s="81"/>
      <c r="G24" s="82" t="s">
        <v>5</v>
      </c>
      <c r="H24" s="82" t="s">
        <v>6</v>
      </c>
      <c r="I24" s="82" t="s">
        <v>7</v>
      </c>
      <c r="J24" s="82" t="s">
        <v>8</v>
      </c>
      <c r="K24" s="82" t="s">
        <v>9</v>
      </c>
      <c r="L24" s="82" t="s">
        <v>10</v>
      </c>
      <c r="M24" s="82" t="s">
        <v>11</v>
      </c>
      <c r="N24" s="82" t="s">
        <v>13</v>
      </c>
      <c r="O24" s="82" t="s">
        <v>14</v>
      </c>
      <c r="P24" s="82" t="s">
        <v>15</v>
      </c>
      <c r="Q24" s="82" t="s">
        <v>23</v>
      </c>
      <c r="R24" s="82" t="s">
        <v>24</v>
      </c>
      <c r="S24" s="82" t="s">
        <v>25</v>
      </c>
      <c r="T24" s="82" t="s">
        <v>26</v>
      </c>
      <c r="U24" s="82" t="s">
        <v>27</v>
      </c>
      <c r="V24" s="82" t="s">
        <v>28</v>
      </c>
      <c r="W24" s="82" t="s">
        <v>29</v>
      </c>
      <c r="X24" s="82" t="s">
        <v>30</v>
      </c>
    </row>
    <row r="25" spans="1:24" ht="48.75" customHeight="1" x14ac:dyDescent="0.25">
      <c r="B25" s="74" t="s">
        <v>62</v>
      </c>
      <c r="C25" s="75" t="s">
        <v>59</v>
      </c>
      <c r="D25" s="75"/>
      <c r="E25" s="76" t="s">
        <v>39</v>
      </c>
      <c r="F25" s="77">
        <f t="shared" ref="F25" si="3">SUM(G25:X25)</f>
        <v>737.59999999999991</v>
      </c>
      <c r="G25" s="78"/>
      <c r="H25" s="79">
        <v>147.80000000000001</v>
      </c>
      <c r="I25" s="79">
        <v>14.7</v>
      </c>
      <c r="J25" s="79">
        <v>122.7</v>
      </c>
      <c r="K25" s="79">
        <v>5.9</v>
      </c>
      <c r="L25" s="79">
        <v>27.7</v>
      </c>
      <c r="M25" s="79">
        <v>223</v>
      </c>
      <c r="N25" s="78"/>
      <c r="O25" s="79">
        <v>193.3</v>
      </c>
      <c r="P25" s="78"/>
      <c r="Q25" s="78"/>
      <c r="R25" s="78"/>
      <c r="S25" s="78"/>
      <c r="T25" s="36">
        <v>2.5</v>
      </c>
      <c r="U25" s="78"/>
      <c r="V25" s="78"/>
      <c r="W25" s="78"/>
      <c r="X25" s="80"/>
    </row>
    <row r="26" spans="1:24" x14ac:dyDescent="0.25">
      <c r="A26" s="51"/>
      <c r="B26" s="52"/>
      <c r="C26" s="53"/>
      <c r="D26" s="53"/>
      <c r="E26" s="53"/>
      <c r="F26" s="53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5"/>
    </row>
    <row r="27" spans="1:24" ht="52.5" customHeight="1" thickBot="1" x14ac:dyDescent="0.3">
      <c r="B27" s="56" t="s">
        <v>60</v>
      </c>
      <c r="C27" s="69" t="s">
        <v>59</v>
      </c>
      <c r="D27" s="69"/>
      <c r="E27" s="57" t="s">
        <v>39</v>
      </c>
      <c r="F27" s="58">
        <f t="shared" ref="F27" si="4">SUM(G27:X27)</f>
        <v>192.8</v>
      </c>
      <c r="G27" s="59"/>
      <c r="H27" s="60">
        <v>36.299999999999997</v>
      </c>
      <c r="I27" s="59"/>
      <c r="J27" s="60">
        <v>31.2</v>
      </c>
      <c r="K27" s="59"/>
      <c r="L27" s="59"/>
      <c r="M27" s="60">
        <v>86.4</v>
      </c>
      <c r="N27" s="59"/>
      <c r="O27" s="60">
        <v>38.9</v>
      </c>
      <c r="P27" s="59"/>
      <c r="Q27" s="59"/>
      <c r="R27" s="59"/>
      <c r="S27" s="59"/>
      <c r="T27" s="61"/>
      <c r="U27" s="59"/>
      <c r="V27" s="59"/>
      <c r="W27" s="59"/>
      <c r="X27" s="62"/>
    </row>
  </sheetData>
  <mergeCells count="7">
    <mergeCell ref="B18:X18"/>
    <mergeCell ref="B24:F24"/>
    <mergeCell ref="B19:F19"/>
    <mergeCell ref="E21:F21"/>
    <mergeCell ref="B23:X23"/>
    <mergeCell ref="C25:D25"/>
    <mergeCell ref="C27:D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D815E-2052-45C7-95C5-C439786A4C0B}">
  <dimension ref="A1:AM14"/>
  <sheetViews>
    <sheetView zoomScale="90" zoomScaleNormal="90" workbookViewId="0">
      <selection activeCell="R1" sqref="R1:X1048576"/>
    </sheetView>
  </sheetViews>
  <sheetFormatPr baseColWidth="10" defaultRowHeight="15" x14ac:dyDescent="0.25"/>
  <cols>
    <col min="1" max="1" width="8.85546875" style="45" customWidth="1"/>
    <col min="2" max="2" width="24.7109375" customWidth="1"/>
    <col min="3" max="5" width="11.42578125" customWidth="1"/>
    <col min="6" max="6" width="12.7109375" customWidth="1"/>
    <col min="7" max="18" width="11.42578125" style="46" customWidth="1"/>
    <col min="19" max="19" width="11.42578125" style="46" hidden="1" customWidth="1"/>
    <col min="20" max="24" width="11.42578125" style="46" customWidth="1"/>
    <col min="25" max="25" width="11.42578125" style="46" hidden="1" customWidth="1"/>
    <col min="26" max="27" width="11.42578125" style="46" customWidth="1"/>
    <col min="28" max="28" width="11.42578125" style="46" hidden="1" customWidth="1"/>
    <col min="29" max="29" width="11.42578125" style="46" customWidth="1"/>
    <col min="30" max="31" width="11.42578125" style="46" hidden="1" customWidth="1"/>
    <col min="32" max="32" width="11.5703125" style="46" customWidth="1"/>
    <col min="33" max="33" width="2.7109375" customWidth="1"/>
    <col min="34" max="34" width="15.42578125" style="44" bestFit="1" customWidth="1"/>
    <col min="35" max="35" width="13.7109375" bestFit="1" customWidth="1"/>
    <col min="36" max="36" width="2.7109375" customWidth="1"/>
    <col min="39" max="39" width="2.7109375" customWidth="1"/>
  </cols>
  <sheetData>
    <row r="1" spans="1:39" ht="97.9" customHeight="1" x14ac:dyDescent="0.25">
      <c r="A1" s="1"/>
      <c r="B1" s="2" t="s">
        <v>0</v>
      </c>
      <c r="C1" s="3" t="s">
        <v>1</v>
      </c>
      <c r="D1" s="4" t="s">
        <v>2</v>
      </c>
      <c r="E1" s="5" t="s">
        <v>3</v>
      </c>
      <c r="F1" s="6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  <c r="AF1" s="8" t="s">
        <v>30</v>
      </c>
      <c r="AG1" s="9"/>
      <c r="AH1" s="8" t="s">
        <v>31</v>
      </c>
      <c r="AI1" s="8" t="s">
        <v>32</v>
      </c>
      <c r="AJ1" s="9"/>
      <c r="AK1" s="8" t="s">
        <v>33</v>
      </c>
      <c r="AL1" s="8" t="s">
        <v>34</v>
      </c>
      <c r="AM1" s="9"/>
    </row>
    <row r="2" spans="1:39" ht="23.25" customHeight="1" x14ac:dyDescent="0.25">
      <c r="A2" s="10">
        <v>1</v>
      </c>
      <c r="B2" s="11" t="s">
        <v>35</v>
      </c>
      <c r="C2" s="12" t="s">
        <v>36</v>
      </c>
      <c r="D2" s="13"/>
      <c r="E2" s="14" t="s">
        <v>37</v>
      </c>
      <c r="F2" s="15">
        <f t="shared" ref="F2:F7" si="0">SUM(G2:AF2)</f>
        <v>6682.7500000000009</v>
      </c>
      <c r="G2" s="16">
        <f>17.51+33.16</f>
        <v>50.67</v>
      </c>
      <c r="H2" s="16">
        <f>660.4+653.9</f>
        <v>1314.3</v>
      </c>
      <c r="I2" s="16">
        <f>83.24+87</f>
        <v>170.24</v>
      </c>
      <c r="J2" s="16">
        <f>515.84+511.56</f>
        <v>1027.4000000000001</v>
      </c>
      <c r="K2" s="16">
        <f>30.94+39.73</f>
        <v>70.67</v>
      </c>
      <c r="L2" s="16">
        <f>123.92+243.44</f>
        <v>367.36</v>
      </c>
      <c r="M2" s="16">
        <f>856.92+853.48</f>
        <v>1710.4</v>
      </c>
      <c r="N2" s="17"/>
      <c r="O2" s="16">
        <f>43.73+41.37</f>
        <v>85.1</v>
      </c>
      <c r="P2" s="16">
        <f>449.54+909.04</f>
        <v>1358.58</v>
      </c>
      <c r="Q2" s="17"/>
      <c r="R2" s="17"/>
      <c r="S2" s="16">
        <f>25.45+23.46</f>
        <v>48.91</v>
      </c>
      <c r="T2" s="17"/>
      <c r="U2" s="17"/>
      <c r="V2" s="17"/>
      <c r="W2" s="17"/>
      <c r="X2" s="17"/>
      <c r="Y2" s="16">
        <f>19.41+23.35</f>
        <v>42.760000000000005</v>
      </c>
      <c r="Z2" s="17"/>
      <c r="AA2" s="16">
        <f>3.1+1.6</f>
        <v>4.7</v>
      </c>
      <c r="AB2" s="16">
        <f>6.57+6.43</f>
        <v>13</v>
      </c>
      <c r="AC2" s="16">
        <f>8.15+8.73</f>
        <v>16.880000000000003</v>
      </c>
      <c r="AD2" s="16">
        <f>6.13+5.9</f>
        <v>12.030000000000001</v>
      </c>
      <c r="AE2" s="16">
        <f>103.64+56.8</f>
        <v>160.44</v>
      </c>
      <c r="AF2" s="16">
        <v>229.31</v>
      </c>
      <c r="AG2" s="18"/>
      <c r="AH2" s="19">
        <f>1207239.4-68412.9</f>
        <v>1138826.5</v>
      </c>
      <c r="AI2" s="20">
        <v>68412.91</v>
      </c>
      <c r="AJ2" s="21"/>
      <c r="AK2" s="22">
        <f>AH2/(F2-AF2)</f>
        <v>176.46813172509545</v>
      </c>
      <c r="AL2" s="22">
        <f>AI2/AF2</f>
        <v>298.34246216911606</v>
      </c>
      <c r="AM2" s="18"/>
    </row>
    <row r="3" spans="1:39" ht="24" x14ac:dyDescent="0.25">
      <c r="A3" s="10">
        <v>2</v>
      </c>
      <c r="B3" s="23" t="s">
        <v>38</v>
      </c>
      <c r="C3" s="12" t="s">
        <v>36</v>
      </c>
      <c r="D3" s="13"/>
      <c r="E3" s="24" t="s">
        <v>39</v>
      </c>
      <c r="F3" s="15">
        <f t="shared" si="0"/>
        <v>16.759999999999998</v>
      </c>
      <c r="G3" s="17"/>
      <c r="H3" s="17"/>
      <c r="I3" s="17"/>
      <c r="J3" s="17"/>
      <c r="K3" s="13">
        <v>1.48</v>
      </c>
      <c r="L3" s="13">
        <v>15.28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25"/>
      <c r="AH3" s="19">
        <v>2969.82</v>
      </c>
      <c r="AI3" s="17"/>
      <c r="AJ3" s="26"/>
      <c r="AK3" s="22">
        <f>AH3/F3</f>
        <v>177.19689737470171</v>
      </c>
      <c r="AL3" s="22"/>
      <c r="AM3" s="25"/>
    </row>
    <row r="4" spans="1:39" ht="24" x14ac:dyDescent="0.25">
      <c r="A4" s="10">
        <v>3</v>
      </c>
      <c r="B4" s="27" t="s">
        <v>40</v>
      </c>
      <c r="C4" s="12" t="s">
        <v>36</v>
      </c>
      <c r="D4" s="13"/>
      <c r="E4" s="24" t="s">
        <v>39</v>
      </c>
      <c r="F4" s="15">
        <f t="shared" si="0"/>
        <v>270.28999999999996</v>
      </c>
      <c r="G4" s="17"/>
      <c r="H4" s="16">
        <v>23.81</v>
      </c>
      <c r="I4" s="17"/>
      <c r="J4" s="16">
        <v>24.11</v>
      </c>
      <c r="K4" s="17"/>
      <c r="L4" s="17"/>
      <c r="M4" s="16">
        <v>53.01</v>
      </c>
      <c r="N4" s="17"/>
      <c r="O4" s="17"/>
      <c r="P4" s="16">
        <v>54.83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6">
        <v>97.76</v>
      </c>
      <c r="AF4" s="13">
        <v>16.77</v>
      </c>
      <c r="AG4" s="18"/>
      <c r="AH4" s="19">
        <f>91970.14</f>
        <v>91970.14</v>
      </c>
      <c r="AI4" s="28">
        <f>8807.03</f>
        <v>8807.0300000000007</v>
      </c>
      <c r="AJ4" s="21"/>
      <c r="AK4" s="22">
        <f>AH4/(F4-AF4)</f>
        <v>362.77272010097829</v>
      </c>
      <c r="AL4" s="22">
        <f>AI4/AF4</f>
        <v>525.16577221228385</v>
      </c>
      <c r="AM4" s="18"/>
    </row>
    <row r="5" spans="1:39" ht="24" x14ac:dyDescent="0.25">
      <c r="A5" s="10">
        <v>4</v>
      </c>
      <c r="B5" s="23" t="s">
        <v>41</v>
      </c>
      <c r="C5" s="12" t="s">
        <v>36</v>
      </c>
      <c r="D5" s="13"/>
      <c r="E5" s="24" t="s">
        <v>39</v>
      </c>
      <c r="F5" s="15">
        <f t="shared" si="0"/>
        <v>19.96</v>
      </c>
      <c r="G5" s="29"/>
      <c r="H5" s="17"/>
      <c r="I5" s="17"/>
      <c r="J5" s="13">
        <v>7.14</v>
      </c>
      <c r="K5" s="17"/>
      <c r="L5" s="13">
        <v>0.64</v>
      </c>
      <c r="M5" s="13">
        <v>2.54</v>
      </c>
      <c r="N5" s="17"/>
      <c r="O5" s="17"/>
      <c r="P5" s="13">
        <v>3.82</v>
      </c>
      <c r="Q5" s="17"/>
      <c r="R5" s="17"/>
      <c r="S5" s="13">
        <v>1.06</v>
      </c>
      <c r="T5" s="17"/>
      <c r="U5" s="17"/>
      <c r="V5" s="17"/>
      <c r="W5" s="17"/>
      <c r="X5" s="17"/>
      <c r="Y5" s="17"/>
      <c r="Z5" s="17"/>
      <c r="AA5" s="17"/>
      <c r="AB5" s="16">
        <v>2.16</v>
      </c>
      <c r="AC5" s="17"/>
      <c r="AD5" s="16">
        <v>0.1</v>
      </c>
      <c r="AE5" s="16">
        <v>1.1599999999999999</v>
      </c>
      <c r="AF5" s="13">
        <v>1.34</v>
      </c>
      <c r="AG5" s="25"/>
      <c r="AH5" s="19">
        <f>6416.5</f>
        <v>6416.5</v>
      </c>
      <c r="AI5" s="19">
        <v>431.53</v>
      </c>
      <c r="AJ5" s="26"/>
      <c r="AK5" s="22">
        <f>(AH5-AF5)/(F5-AF5)</f>
        <v>344.53061224489795</v>
      </c>
      <c r="AL5" s="22">
        <f>AI5/AF5</f>
        <v>322.03731343283579</v>
      </c>
      <c r="AM5" s="25"/>
    </row>
    <row r="6" spans="1:39" ht="24" x14ac:dyDescent="0.25">
      <c r="A6" s="10">
        <v>5</v>
      </c>
      <c r="B6" s="23" t="s">
        <v>42</v>
      </c>
      <c r="C6" s="12" t="s">
        <v>36</v>
      </c>
      <c r="D6" s="13"/>
      <c r="E6" s="24" t="s">
        <v>39</v>
      </c>
      <c r="F6" s="15">
        <f t="shared" si="0"/>
        <v>22.05</v>
      </c>
      <c r="G6" s="17"/>
      <c r="H6" s="13">
        <v>5.7</v>
      </c>
      <c r="I6" s="17"/>
      <c r="J6" s="13">
        <f>2.16+1.09</f>
        <v>3.25</v>
      </c>
      <c r="K6" s="13">
        <v>0.56000000000000005</v>
      </c>
      <c r="L6" s="13">
        <v>2.41</v>
      </c>
      <c r="M6" s="13">
        <v>6.6</v>
      </c>
      <c r="N6" s="17"/>
      <c r="O6" s="17"/>
      <c r="P6" s="17"/>
      <c r="Q6" s="17"/>
      <c r="R6" s="17"/>
      <c r="S6" s="13">
        <v>1.33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6">
        <v>2.2000000000000002</v>
      </c>
      <c r="AE6" s="17"/>
      <c r="AF6" s="17"/>
      <c r="AG6" s="25"/>
      <c r="AH6" s="19">
        <v>3891.4</v>
      </c>
      <c r="AI6" s="17"/>
      <c r="AJ6" s="26"/>
      <c r="AK6" s="22">
        <f>(AH6-AF6)/F6</f>
        <v>176.48072562358277</v>
      </c>
      <c r="AL6" s="17"/>
      <c r="AM6" s="25"/>
    </row>
    <row r="7" spans="1:39" ht="24" x14ac:dyDescent="0.25">
      <c r="A7" s="10">
        <v>6</v>
      </c>
      <c r="B7" s="27" t="s">
        <v>43</v>
      </c>
      <c r="C7" s="12" t="s">
        <v>36</v>
      </c>
      <c r="D7" s="13"/>
      <c r="E7" s="24" t="s">
        <v>39</v>
      </c>
      <c r="F7" s="15">
        <f t="shared" si="0"/>
        <v>17.02</v>
      </c>
      <c r="G7" s="17"/>
      <c r="H7" s="17"/>
      <c r="I7" s="17"/>
      <c r="J7" s="13">
        <v>11.9</v>
      </c>
      <c r="K7" s="17"/>
      <c r="L7" s="17"/>
      <c r="M7" s="13">
        <v>3.64</v>
      </c>
      <c r="N7" s="17"/>
      <c r="O7" s="17"/>
      <c r="P7" s="13">
        <v>1.48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25"/>
      <c r="AH7" s="19">
        <v>6780.13</v>
      </c>
      <c r="AI7" s="17"/>
      <c r="AJ7" s="26"/>
      <c r="AK7" s="22">
        <f>(AH7-AF7)/F7</f>
        <v>398.36251468860166</v>
      </c>
      <c r="AL7" s="17"/>
      <c r="AM7" s="25"/>
    </row>
    <row r="8" spans="1:39" ht="24" x14ac:dyDescent="0.25">
      <c r="A8" s="10">
        <v>7</v>
      </c>
      <c r="B8" s="23" t="s">
        <v>44</v>
      </c>
      <c r="C8" s="12" t="s">
        <v>36</v>
      </c>
      <c r="D8" s="13"/>
      <c r="E8" s="24" t="s">
        <v>39</v>
      </c>
      <c r="F8" s="15">
        <f t="shared" ref="F8:F13" si="1">SUM(G8:AF8)</f>
        <v>103.97</v>
      </c>
      <c r="G8" s="13">
        <v>0.37</v>
      </c>
      <c r="H8" s="17"/>
      <c r="I8" s="17"/>
      <c r="J8" s="13">
        <f>6.96+15.07</f>
        <v>22.03</v>
      </c>
      <c r="K8" s="13">
        <v>0.23</v>
      </c>
      <c r="L8" s="13">
        <f>0.31+1.16</f>
        <v>1.47</v>
      </c>
      <c r="M8" s="17"/>
      <c r="N8" s="17"/>
      <c r="O8" s="16">
        <v>0.16</v>
      </c>
      <c r="P8" s="17"/>
      <c r="Q8" s="17"/>
      <c r="R8" s="17"/>
      <c r="S8" s="17"/>
      <c r="T8" s="17"/>
      <c r="U8" s="17"/>
      <c r="V8" s="17"/>
      <c r="W8" s="17"/>
      <c r="X8" s="17"/>
      <c r="Y8" s="16">
        <v>0.59</v>
      </c>
      <c r="Z8" s="17"/>
      <c r="AA8" s="13">
        <f>32.26+29.2</f>
        <v>61.459999999999994</v>
      </c>
      <c r="AB8" s="13">
        <v>4.16</v>
      </c>
      <c r="AC8" s="16">
        <v>5.72</v>
      </c>
      <c r="AD8" s="16">
        <f>4.72+1.36</f>
        <v>6.08</v>
      </c>
      <c r="AE8" s="16">
        <v>1.7</v>
      </c>
      <c r="AF8" s="17"/>
      <c r="AG8" s="25"/>
      <c r="AH8" s="19">
        <v>68465.41</v>
      </c>
      <c r="AI8" s="30"/>
      <c r="AJ8" s="26"/>
      <c r="AK8" s="22">
        <f>AH8/F8</f>
        <v>658.5112051553333</v>
      </c>
      <c r="AL8" s="17"/>
      <c r="AM8" s="25"/>
    </row>
    <row r="9" spans="1:39" ht="24" x14ac:dyDescent="0.25">
      <c r="A9" s="10">
        <v>8</v>
      </c>
      <c r="B9" s="23" t="s">
        <v>45</v>
      </c>
      <c r="C9" s="12" t="s">
        <v>36</v>
      </c>
      <c r="D9" s="13"/>
      <c r="E9" s="24" t="s">
        <v>39</v>
      </c>
      <c r="F9" s="15">
        <f t="shared" si="1"/>
        <v>494.34000000000009</v>
      </c>
      <c r="G9" s="13">
        <f>13.9</f>
        <v>13.9</v>
      </c>
      <c r="H9" s="31">
        <v>64.39</v>
      </c>
      <c r="I9" s="31">
        <v>1.79</v>
      </c>
      <c r="J9" s="32">
        <v>112</v>
      </c>
      <c r="K9" s="17"/>
      <c r="L9" s="31">
        <v>11.76</v>
      </c>
      <c r="M9" s="31">
        <v>124.51</v>
      </c>
      <c r="N9" s="17"/>
      <c r="O9" s="31">
        <v>6.97</v>
      </c>
      <c r="P9" s="31">
        <v>112.38</v>
      </c>
      <c r="Q9" s="17"/>
      <c r="R9" s="17"/>
      <c r="S9" s="31">
        <v>3.22</v>
      </c>
      <c r="T9" s="17"/>
      <c r="U9" s="17"/>
      <c r="V9" s="17"/>
      <c r="W9" s="17"/>
      <c r="X9" s="17"/>
      <c r="Y9" s="17"/>
      <c r="Z9" s="16">
        <v>43.42</v>
      </c>
      <c r="AA9" s="17"/>
      <c r="AB9" s="17"/>
      <c r="AC9" s="17"/>
      <c r="AD9" s="17"/>
      <c r="AE9" s="17"/>
      <c r="AF9" s="17"/>
      <c r="AG9" s="25"/>
      <c r="AH9" s="19">
        <f>60630.6+2302.19</f>
        <v>62932.79</v>
      </c>
      <c r="AI9" s="30"/>
      <c r="AJ9" s="26"/>
      <c r="AK9" s="22">
        <f>AH9/F9</f>
        <v>127.30669175061696</v>
      </c>
      <c r="AL9" s="17"/>
      <c r="AM9" s="25"/>
    </row>
    <row r="10" spans="1:39" x14ac:dyDescent="0.25">
      <c r="A10" s="10">
        <v>9</v>
      </c>
      <c r="B10" s="23" t="s">
        <v>46</v>
      </c>
      <c r="C10" s="12" t="s">
        <v>36</v>
      </c>
      <c r="D10" s="13"/>
      <c r="E10" s="33" t="s">
        <v>47</v>
      </c>
      <c r="F10" s="15">
        <f t="shared" si="1"/>
        <v>0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25"/>
      <c r="AH10" s="17"/>
      <c r="AI10" s="17"/>
      <c r="AJ10" s="26"/>
      <c r="AK10" s="17"/>
      <c r="AL10" s="17"/>
      <c r="AM10" s="25"/>
    </row>
    <row r="11" spans="1:39" ht="22.5" x14ac:dyDescent="0.25">
      <c r="A11" s="10">
        <v>10</v>
      </c>
      <c r="B11" s="27" t="s">
        <v>48</v>
      </c>
      <c r="C11" s="12" t="s">
        <v>36</v>
      </c>
      <c r="D11" s="13"/>
      <c r="E11" s="33" t="s">
        <v>47</v>
      </c>
      <c r="F11" s="15">
        <f t="shared" si="1"/>
        <v>203.77</v>
      </c>
      <c r="G11" s="16">
        <v>1.94</v>
      </c>
      <c r="H11" s="16">
        <v>21.68</v>
      </c>
      <c r="I11" s="16">
        <v>1.86</v>
      </c>
      <c r="J11" s="16">
        <v>2.3199999999999998</v>
      </c>
      <c r="K11" s="17"/>
      <c r="L11" s="17"/>
      <c r="M11" s="16">
        <v>3.22</v>
      </c>
      <c r="N11" s="17"/>
      <c r="O11" s="16">
        <v>11.54</v>
      </c>
      <c r="P11" s="16">
        <v>16.100000000000001</v>
      </c>
      <c r="Q11" s="16">
        <v>1.1599999999999999</v>
      </c>
      <c r="R11" s="17"/>
      <c r="S11" s="17"/>
      <c r="T11" s="17"/>
      <c r="U11" s="17"/>
      <c r="V11" s="17"/>
      <c r="W11" s="17"/>
      <c r="X11" s="17"/>
      <c r="Y11" s="13"/>
      <c r="Z11" s="16">
        <v>8.3800000000000008</v>
      </c>
      <c r="AA11" s="17"/>
      <c r="AB11" s="13">
        <v>14.38</v>
      </c>
      <c r="AC11" s="17"/>
      <c r="AD11" s="16">
        <v>113.33</v>
      </c>
      <c r="AE11" s="17"/>
      <c r="AF11" s="16">
        <v>7.86</v>
      </c>
      <c r="AG11" s="25"/>
      <c r="AH11" s="19">
        <f>697.42+300.2+600.78+987.22+3349.85+4856.27+6788.22+501.77+3205.2</f>
        <v>21286.93</v>
      </c>
      <c r="AI11" s="19">
        <v>2959.19</v>
      </c>
      <c r="AJ11" s="26"/>
      <c r="AK11" s="22">
        <f>AH11/(F11-AF11)</f>
        <v>108.65667908733603</v>
      </c>
      <c r="AL11" s="22">
        <f>AI11/AF11</f>
        <v>376.48727735368954</v>
      </c>
      <c r="AM11" s="25"/>
    </row>
    <row r="12" spans="1:39" x14ac:dyDescent="0.25">
      <c r="A12" s="10"/>
      <c r="B12" s="23" t="s">
        <v>49</v>
      </c>
      <c r="C12" s="12"/>
      <c r="D12" s="13"/>
      <c r="E12" s="33"/>
      <c r="F12" s="15">
        <f t="shared" si="1"/>
        <v>34.36</v>
      </c>
      <c r="G12" s="16">
        <v>2.9</v>
      </c>
      <c r="H12" s="16">
        <f>3.8+2.44+8.06</f>
        <v>14.3</v>
      </c>
      <c r="I12" s="17"/>
      <c r="J12" s="13">
        <f>1.01+2.94</f>
        <v>3.95</v>
      </c>
      <c r="K12" s="17"/>
      <c r="L12" s="16">
        <v>7.0000000000000007E-2</v>
      </c>
      <c r="M12" s="13">
        <f>1.36+1.69</f>
        <v>3.05</v>
      </c>
      <c r="N12" s="17"/>
      <c r="O12" s="17"/>
      <c r="P12" s="17">
        <v>7.49</v>
      </c>
      <c r="Q12" s="17"/>
      <c r="R12" s="34"/>
      <c r="S12" s="17"/>
      <c r="T12" s="34"/>
      <c r="U12" s="34"/>
      <c r="V12" s="34"/>
      <c r="W12" s="34"/>
      <c r="X12" s="34"/>
      <c r="Y12" s="17"/>
      <c r="Z12" s="16">
        <v>2.54</v>
      </c>
      <c r="AA12" s="17"/>
      <c r="AB12" s="17"/>
      <c r="AC12" s="17"/>
      <c r="AD12" s="17"/>
      <c r="AE12" s="16">
        <v>0.06</v>
      </c>
      <c r="AF12" s="17"/>
      <c r="AG12" s="25"/>
      <c r="AH12" s="17"/>
      <c r="AI12" s="17"/>
      <c r="AJ12" s="26"/>
      <c r="AK12" s="22"/>
      <c r="AL12" s="17"/>
      <c r="AM12" s="25"/>
    </row>
    <row r="13" spans="1:39" ht="24" x14ac:dyDescent="0.25">
      <c r="A13" s="10"/>
      <c r="B13" s="35" t="s">
        <v>50</v>
      </c>
      <c r="C13" s="36" t="s">
        <v>36</v>
      </c>
      <c r="D13" s="37"/>
      <c r="E13" s="24" t="s">
        <v>39</v>
      </c>
      <c r="F13" s="15">
        <f t="shared" si="1"/>
        <v>0.8</v>
      </c>
      <c r="G13" s="38"/>
      <c r="H13" s="38"/>
      <c r="I13" s="38"/>
      <c r="J13" s="38"/>
      <c r="K13" s="38"/>
      <c r="L13" s="38"/>
      <c r="M13" s="38"/>
      <c r="N13" s="39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6">
        <v>0.8</v>
      </c>
      <c r="Z13" s="38"/>
      <c r="AA13" s="38"/>
      <c r="AB13" s="38"/>
      <c r="AC13" s="38"/>
      <c r="AD13" s="38"/>
      <c r="AE13" s="38"/>
      <c r="AF13" s="38"/>
      <c r="AG13" s="25"/>
      <c r="AH13" s="19">
        <v>1244.22</v>
      </c>
      <c r="AI13" s="30"/>
      <c r="AJ13" s="26"/>
      <c r="AK13" s="22">
        <f>AH13/F13</f>
        <v>1555.2749999999999</v>
      </c>
      <c r="AL13" s="17"/>
      <c r="AM13" s="25"/>
    </row>
    <row r="14" spans="1:39" ht="6" customHeight="1" x14ac:dyDescent="0.25">
      <c r="A14" s="40"/>
      <c r="B14" s="41"/>
      <c r="C14" s="41"/>
      <c r="D14" s="41"/>
      <c r="E14" s="41"/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suivi TONNAGES  2024</vt:lpstr>
      <vt:lpstr>suivi TONNAGES  Veolia  2024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RIVIERE, Valerie</dc:creator>
  <cp:lastModifiedBy>RIVIERE, Valerie</cp:lastModifiedBy>
  <dcterms:created xsi:type="dcterms:W3CDTF">2025-04-07T16:34:42Z</dcterms:created>
  <dcterms:modified xsi:type="dcterms:W3CDTF">2025-06-17T14:18:54Z</dcterms:modified>
</cp:coreProperties>
</file>